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80" windowHeight="7875" activeTab="1"/>
  </bookViews>
  <sheets>
    <sheet name="Sheet1 (2)" sheetId="1" r:id="rId1"/>
    <sheet name="contoh" sheetId="2" r:id="rId2"/>
    <sheet name="Sheet2" sheetId="3" r:id="rId3"/>
    <sheet name="Sheet3" sheetId="4" r:id="rId4"/>
    <sheet name="Sheet3 (2)" sheetId="5" r:id="rId5"/>
  </sheets>
  <definedNames/>
  <calcPr fullCalcOnLoad="1"/>
</workbook>
</file>

<file path=xl/sharedStrings.xml><?xml version="1.0" encoding="utf-8"?>
<sst xmlns="http://schemas.openxmlformats.org/spreadsheetml/2006/main" count="269" uniqueCount="70">
  <si>
    <t>Waktu ke-</t>
  </si>
  <si>
    <t>Total</t>
  </si>
  <si>
    <t>Q (m3/s)</t>
  </si>
  <si>
    <t>QBF (m3/s)</t>
  </si>
  <si>
    <t>QLL (m3/s)</t>
  </si>
  <si>
    <t>A</t>
  </si>
  <si>
    <t>km2</t>
  </si>
  <si>
    <t>m2</t>
  </si>
  <si>
    <t>QLL</t>
  </si>
  <si>
    <t>m3/jam</t>
  </si>
  <si>
    <t>VLL</t>
  </si>
  <si>
    <t>mm/jam</t>
  </si>
  <si>
    <t>m/jam</t>
  </si>
  <si>
    <t>V hujan efektif = VLL</t>
  </si>
  <si>
    <r>
      <t xml:space="preserve">f </t>
    </r>
    <r>
      <rPr>
        <sz val="10"/>
        <rFont val="Arial"/>
        <family val="0"/>
      </rPr>
      <t>- indeks</t>
    </r>
  </si>
  <si>
    <t>dicoba-coba</t>
  </si>
  <si>
    <r>
      <t xml:space="preserve">Dianggap </t>
    </r>
    <r>
      <rPr>
        <sz val="10"/>
        <rFont val="Symbol"/>
        <family val="0"/>
      </rPr>
      <t>f</t>
    </r>
    <r>
      <rPr>
        <sz val="10"/>
        <rFont val="Arial"/>
        <family val="0"/>
      </rPr>
      <t xml:space="preserve"> - indeks &lt; 2 mm/jam</t>
    </r>
  </si>
  <si>
    <t>R1</t>
  </si>
  <si>
    <t>mm</t>
  </si>
  <si>
    <t>R2</t>
  </si>
  <si>
    <t>R3</t>
  </si>
  <si>
    <r>
      <t xml:space="preserve">Dianggap 2 &lt; </t>
    </r>
    <r>
      <rPr>
        <sz val="10"/>
        <rFont val="Symbol"/>
        <family val="0"/>
      </rPr>
      <t>f</t>
    </r>
    <r>
      <rPr>
        <sz val="10"/>
        <rFont val="Arial"/>
        <family val="0"/>
      </rPr>
      <t xml:space="preserve"> - indeks &lt; 8 mm/jam</t>
    </r>
  </si>
  <si>
    <t>Hujan Efektif</t>
  </si>
  <si>
    <t>RE1</t>
  </si>
  <si>
    <t>RE2</t>
  </si>
  <si>
    <t>PR</t>
  </si>
  <si>
    <t>nq</t>
  </si>
  <si>
    <t>np</t>
  </si>
  <si>
    <t>nu</t>
  </si>
  <si>
    <t>Waktu</t>
  </si>
  <si>
    <t>HLL</t>
  </si>
  <si>
    <t>HS</t>
  </si>
  <si>
    <t>Hidrograf BANJIR</t>
  </si>
  <si>
    <t>Q0</t>
  </si>
  <si>
    <t>QLL1</t>
  </si>
  <si>
    <t>U1</t>
  </si>
  <si>
    <t>Q1</t>
  </si>
  <si>
    <t>QLL2</t>
  </si>
  <si>
    <t>U2</t>
  </si>
  <si>
    <t>Q2</t>
  </si>
  <si>
    <t>QLL3</t>
  </si>
  <si>
    <t>U3</t>
  </si>
  <si>
    <t>Q3</t>
  </si>
  <si>
    <t>QLL4</t>
  </si>
  <si>
    <t>U4</t>
  </si>
  <si>
    <t>Q4</t>
  </si>
  <si>
    <t>QLL5</t>
  </si>
  <si>
    <t>U5</t>
  </si>
  <si>
    <t>Q5</t>
  </si>
  <si>
    <t>QLL6</t>
  </si>
  <si>
    <t>U6</t>
  </si>
  <si>
    <t>Q6</t>
  </si>
  <si>
    <t>QLL7</t>
  </si>
  <si>
    <t>Q7</t>
  </si>
  <si>
    <t>QLL8</t>
  </si>
  <si>
    <t>Q8</t>
  </si>
  <si>
    <t>Q9</t>
  </si>
  <si>
    <t>Q puncak (Qb = 5 m3/s)?</t>
  </si>
  <si>
    <t xml:space="preserve">Q puncak </t>
  </si>
  <si>
    <r>
      <t xml:space="preserve">Dianggap </t>
    </r>
    <r>
      <rPr>
        <sz val="10"/>
        <rFont val="Symbol"/>
        <family val="0"/>
      </rPr>
      <t>f</t>
    </r>
    <r>
      <rPr>
        <sz val="10"/>
        <rFont val="Arial"/>
        <family val="0"/>
      </rPr>
      <t xml:space="preserve"> - indeks &lt; 8 mm/jam</t>
    </r>
  </si>
  <si>
    <t>R4</t>
  </si>
  <si>
    <r>
      <t xml:space="preserve">Dianggap 8 &lt; </t>
    </r>
    <r>
      <rPr>
        <sz val="10"/>
        <rFont val="Symbol"/>
        <family val="0"/>
      </rPr>
      <t>f</t>
    </r>
    <r>
      <rPr>
        <sz val="10"/>
        <rFont val="Arial"/>
        <family val="0"/>
      </rPr>
      <t xml:space="preserve"> - indeks &lt; 12 mm/jam</t>
    </r>
  </si>
  <si>
    <t>(oke)</t>
  </si>
  <si>
    <t>RE3</t>
  </si>
  <si>
    <t>U</t>
  </si>
  <si>
    <t>t (jam ke -)</t>
  </si>
  <si>
    <r>
      <t>Q (m</t>
    </r>
    <r>
      <rPr>
        <vertAlign val="superscript"/>
        <sz val="12"/>
        <rFont val="Bell MT"/>
        <family val="0"/>
      </rPr>
      <t>3</t>
    </r>
    <r>
      <rPr>
        <sz val="12"/>
        <rFont val="Bell MT"/>
        <family val="0"/>
      </rPr>
      <t>/s)</t>
    </r>
  </si>
  <si>
    <t>QBF</t>
  </si>
  <si>
    <t>t</t>
  </si>
  <si>
    <t>Q</t>
  </si>
</sst>
</file>

<file path=xl/styles.xml><?xml version="1.0" encoding="utf-8"?>
<styleSheet xmlns="http://schemas.openxmlformats.org/spreadsheetml/2006/main">
  <numFmts count="2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"/>
  </numFmts>
  <fonts count="30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0"/>
    </font>
    <font>
      <sz val="11"/>
      <color indexed="52"/>
      <name val="Calibri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b/>
      <sz val="18"/>
      <color indexed="56"/>
      <name val="Cambria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b/>
      <sz val="15"/>
      <color indexed="56"/>
      <name val="Calibri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3"/>
      <color indexed="56"/>
      <name val="Calibri"/>
      <family val="0"/>
    </font>
    <font>
      <sz val="12"/>
      <name val="Bell MT"/>
      <family val="0"/>
    </font>
    <font>
      <sz val="10"/>
      <name val="Symbol"/>
      <family val="0"/>
    </font>
    <font>
      <sz val="10"/>
      <color indexed="10"/>
      <name val="Arial"/>
      <family val="0"/>
    </font>
    <font>
      <b/>
      <i/>
      <sz val="10"/>
      <name val="Arial"/>
      <family val="0"/>
    </font>
    <font>
      <vertAlign val="superscript"/>
      <sz val="12"/>
      <name val="Bell MT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3" borderId="0" applyNumberFormat="0" applyBorder="0" applyAlignment="0" applyProtection="0"/>
    <xf numFmtId="0" fontId="5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0" fontId="2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78" fontId="0" fillId="24" borderId="0" xfId="0" applyNumberFormat="1" applyFill="1" applyAlignment="1">
      <alignment/>
    </xf>
    <xf numFmtId="17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8" borderId="0" xfId="0" applyFill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right"/>
    </xf>
    <xf numFmtId="178" fontId="0" fillId="8" borderId="0" xfId="0" applyNumberFormat="1" applyFill="1" applyAlignment="1">
      <alignment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24" fillId="0" borderId="0" xfId="0" applyNumberFormat="1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Hidrograf Banjir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405"/>
          <c:w val="0.8115"/>
          <c:h val="0.72425"/>
        </c:manualLayout>
      </c:layout>
      <c:scatterChart>
        <c:scatterStyle val="smoothMarker"/>
        <c:varyColors val="0"/>
        <c:ser>
          <c:idx val="2"/>
          <c:order val="0"/>
          <c:tx>
            <c:v>Hidrograf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'Sheet1 (2)'!$B$1:$H$1</c:f>
              <c:numCache/>
            </c:numRef>
          </c:xVal>
          <c:yVal>
            <c:numRef>
              <c:f>'Sheet1 (2)'!$B$2:$H$2</c:f>
              <c:numCache/>
            </c:numRef>
          </c:yVal>
          <c:smooth val="1"/>
        </c:ser>
        <c:axId val="21940425"/>
        <c:axId val="63246098"/>
      </c:scatterChart>
      <c:valAx>
        <c:axId val="2194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6098"/>
        <c:crosses val="autoZero"/>
        <c:crossBetween val="midCat"/>
        <c:dispUnits/>
        <c:majorUnit val="1"/>
      </c:valAx>
      <c:valAx>
        <c:axId val="63246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4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5225"/>
          <c:w val="0.144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07"/>
          <c:w val="0.858"/>
          <c:h val="0.75775"/>
        </c:manualLayout>
      </c:layout>
      <c:scatterChart>
        <c:scatterStyle val="lineMarker"/>
        <c:varyColors val="0"/>
        <c:ser>
          <c:idx val="0"/>
          <c:order val="0"/>
          <c:tx>
            <c:v>HLL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'Sheet1 (2)'!$A$29:$A$38</c:f>
              <c:numCache/>
            </c:numRef>
          </c:xVal>
          <c:yVal>
            <c:numRef>
              <c:f>'Sheet1 (2)'!$C$29:$C$38</c:f>
              <c:numCache/>
            </c:numRef>
          </c:yVal>
          <c:smooth val="0"/>
        </c:ser>
        <c:axId val="32343971"/>
        <c:axId val="22660284"/>
      </c:scatterChart>
      <c:valAx>
        <c:axId val="3234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60284"/>
        <c:crosses val="autoZero"/>
        <c:crossBetween val="midCat"/>
        <c:dispUnits/>
        <c:majorUnit val="1"/>
      </c:valAx>
      <c:valAx>
        <c:axId val="22660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43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507"/>
          <c:w val="0.09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375"/>
          <c:w val="0.94675"/>
          <c:h val="0.80125"/>
        </c:manualLayout>
      </c:layout>
      <c:scatterChart>
        <c:scatterStyle val="lineMarker"/>
        <c:varyColors val="0"/>
        <c:ser>
          <c:idx val="1"/>
          <c:order val="0"/>
          <c:tx>
            <c:v>HS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'Sheet1 (2)'!$A$29:$A$38</c:f>
              <c:numCache/>
            </c:numRef>
          </c:xVal>
          <c:yVal>
            <c:numRef>
              <c:f>'Sheet1 (2)'!$E$29:$E$38</c:f>
              <c:numCache/>
            </c:numRef>
          </c:yVal>
          <c:smooth val="0"/>
        </c:ser>
        <c:axId val="2615965"/>
        <c:axId val="23543686"/>
      </c:scatterChart>
      <c:val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43686"/>
        <c:crosses val="autoZero"/>
        <c:crossBetween val="midCat"/>
        <c:dispUnits/>
        <c:majorUnit val="1"/>
      </c:valAx>
      <c:valAx>
        <c:axId val="2354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9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0675"/>
          <c:w val="0.858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v>HLL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'Sheet1 (2)'!$A$48:$A$57</c:f>
              <c:numCache/>
            </c:numRef>
          </c:xVal>
          <c:yVal>
            <c:numRef>
              <c:f>'Sheet1 (2)'!$E$48:$E$57</c:f>
              <c:numCache/>
            </c:numRef>
          </c:yVal>
          <c:smooth val="1"/>
        </c:ser>
        <c:axId val="10566583"/>
        <c:axId val="27990384"/>
      </c:scatterChart>
      <c:valAx>
        <c:axId val="1056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0384"/>
        <c:crosses val="autoZero"/>
        <c:crossBetween val="midCat"/>
        <c:dispUnits/>
        <c:majorUnit val="1"/>
      </c:valAx>
      <c:valAx>
        <c:axId val="27990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65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085"/>
          <c:w val="0.098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Hidrograf Banjir</a:t>
            </a:r>
          </a:p>
        </c:rich>
      </c:tx>
      <c:layout>
        <c:manualLayout>
          <c:xMode val="factor"/>
          <c:yMode val="factor"/>
          <c:x val="0.003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4075"/>
          <c:w val="0.81125"/>
          <c:h val="0.7255"/>
        </c:manualLayout>
      </c:layout>
      <c:scatterChart>
        <c:scatterStyle val="smoothMarker"/>
        <c:varyColors val="0"/>
        <c:ser>
          <c:idx val="2"/>
          <c:order val="0"/>
          <c:tx>
            <c:v>Hidrograf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contoh!$A$29:$A$38</c:f>
              <c:numCache/>
            </c:numRef>
          </c:xVal>
          <c:yVal>
            <c:numRef>
              <c:f>contoh!$G$29:$G$38</c:f>
              <c:numCache/>
            </c:numRef>
          </c:yVal>
          <c:smooth val="1"/>
        </c:ser>
        <c:axId val="50586865"/>
        <c:axId val="52628602"/>
      </c:scatterChart>
      <c:valAx>
        <c:axId val="5058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602"/>
        <c:crosses val="autoZero"/>
        <c:crossBetween val="midCat"/>
        <c:dispUnits/>
        <c:majorUnit val="1"/>
      </c:valAx>
      <c:valAx>
        <c:axId val="52628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686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2375"/>
          <c:w val="0.139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Hidrograf Limpasan Langsung (HLL)</a:t>
            </a:r>
          </a:p>
        </c:rich>
      </c:tx>
      <c:layout>
        <c:manualLayout>
          <c:xMode val="factor"/>
          <c:yMode val="factor"/>
          <c:x val="0.1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065"/>
          <c:w val="0.859"/>
          <c:h val="0.759"/>
        </c:manualLayout>
      </c:layout>
      <c:scatterChart>
        <c:scatterStyle val="lineMarker"/>
        <c:varyColors val="0"/>
        <c:ser>
          <c:idx val="0"/>
          <c:order val="0"/>
          <c:tx>
            <c:v>HLL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contoh!$A$29:$A$38</c:f>
              <c:numCache/>
            </c:numRef>
          </c:xVal>
          <c:yVal>
            <c:numRef>
              <c:f>contoh!$C$29:$C$38</c:f>
              <c:numCache/>
            </c:numRef>
          </c:yVal>
          <c:smooth val="0"/>
        </c:ser>
        <c:axId val="3895371"/>
        <c:axId val="35058340"/>
      </c:scatterChart>
      <c:valAx>
        <c:axId val="3895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58340"/>
        <c:crosses val="autoZero"/>
        <c:crossBetween val="midCat"/>
        <c:dispUnits/>
        <c:majorUnit val="1"/>
      </c:valAx>
      <c:valAx>
        <c:axId val="35058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5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50675"/>
          <c:w val="0.098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HS </a:t>
            </a:r>
          </a:p>
        </c:rich>
      </c:tx>
      <c:layout>
        <c:manualLayout>
          <c:xMode val="factor"/>
          <c:yMode val="factor"/>
          <c:x val="-0.0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15"/>
          <c:w val="0.94675"/>
          <c:h val="0.805"/>
        </c:manualLayout>
      </c:layout>
      <c:scatterChart>
        <c:scatterStyle val="lineMarker"/>
        <c:varyColors val="0"/>
        <c:ser>
          <c:idx val="1"/>
          <c:order val="0"/>
          <c:tx>
            <c:v>HS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contoh!$A$29:$A$38</c:f>
              <c:numCache/>
            </c:numRef>
          </c:xVal>
          <c:yVal>
            <c:numRef>
              <c:f>contoh!$E$29:$E$38</c:f>
              <c:numCache/>
            </c:numRef>
          </c:yVal>
          <c:smooth val="0"/>
        </c:ser>
        <c:axId val="47089605"/>
        <c:axId val="21153262"/>
      </c:scatterChart>
      <c:valAx>
        <c:axId val="470896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3262"/>
        <c:crosses val="autoZero"/>
        <c:crossBetween val="midCat"/>
        <c:dispUnits/>
        <c:majorUnit val="1"/>
      </c:valAx>
      <c:valAx>
        <c:axId val="21153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89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07"/>
          <c:w val="0.858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HLL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contoh!$A$48:$A$57</c:f>
              <c:numCache/>
            </c:numRef>
          </c:xVal>
          <c:yVal>
            <c:numRef>
              <c:f>contoh!$E$48:$E$57</c:f>
              <c:numCache/>
            </c:numRef>
          </c:yVal>
          <c:smooth val="1"/>
        </c:ser>
        <c:axId val="56161631"/>
        <c:axId val="35692632"/>
      </c:scatterChart>
      <c:valAx>
        <c:axId val="5616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32"/>
        <c:crosses val="autoZero"/>
        <c:crossBetween val="midCat"/>
        <c:dispUnits/>
        <c:majorUnit val="1"/>
      </c:valAx>
      <c:valAx>
        <c:axId val="35692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05"/>
          <c:w val="0.09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9525</xdr:rowOff>
    </xdr:from>
    <xdr:to>
      <xdr:col>18</xdr:col>
      <xdr:colOff>400050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6048375" y="819150"/>
        <a:ext cx="58864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23</xdr:row>
      <xdr:rowOff>152400</xdr:rowOff>
    </xdr:from>
    <xdr:to>
      <xdr:col>18</xdr:col>
      <xdr:colOff>409575</xdr:colOff>
      <xdr:row>41</xdr:row>
      <xdr:rowOff>85725</xdr:rowOff>
    </xdr:to>
    <xdr:graphicFrame>
      <xdr:nvGraphicFramePr>
        <xdr:cNvPr id="2" name="Chart 2"/>
        <xdr:cNvGraphicFramePr/>
      </xdr:nvGraphicFramePr>
      <xdr:xfrm>
        <a:off x="6048375" y="3876675"/>
        <a:ext cx="58959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43</xdr:row>
      <xdr:rowOff>38100</xdr:rowOff>
    </xdr:from>
    <xdr:to>
      <xdr:col>16</xdr:col>
      <xdr:colOff>85725</xdr:colOff>
      <xdr:row>60</xdr:row>
      <xdr:rowOff>142875</xdr:rowOff>
    </xdr:to>
    <xdr:graphicFrame>
      <xdr:nvGraphicFramePr>
        <xdr:cNvPr id="3" name="Chart 3"/>
        <xdr:cNvGraphicFramePr/>
      </xdr:nvGraphicFramePr>
      <xdr:xfrm>
        <a:off x="6057900" y="7000875"/>
        <a:ext cx="43434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466725</xdr:colOff>
      <xdr:row>78</xdr:row>
      <xdr:rowOff>104775</xdr:rowOff>
    </xdr:to>
    <xdr:graphicFrame>
      <xdr:nvGraphicFramePr>
        <xdr:cNvPr id="4" name="Chart 4"/>
        <xdr:cNvGraphicFramePr/>
      </xdr:nvGraphicFramePr>
      <xdr:xfrm>
        <a:off x="0" y="9877425"/>
        <a:ext cx="59055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95250</xdr:rowOff>
    </xdr:from>
    <xdr:to>
      <xdr:col>18</xdr:col>
      <xdr:colOff>419100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6076950" y="742950"/>
        <a:ext cx="5876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24</xdr:row>
      <xdr:rowOff>76200</xdr:rowOff>
    </xdr:from>
    <xdr:to>
      <xdr:col>18</xdr:col>
      <xdr:colOff>495300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6134100" y="3962400"/>
        <a:ext cx="58959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42</xdr:row>
      <xdr:rowOff>104775</xdr:rowOff>
    </xdr:from>
    <xdr:to>
      <xdr:col>16</xdr:col>
      <xdr:colOff>133350</xdr:colOff>
      <xdr:row>60</xdr:row>
      <xdr:rowOff>57150</xdr:rowOff>
    </xdr:to>
    <xdr:graphicFrame>
      <xdr:nvGraphicFramePr>
        <xdr:cNvPr id="3" name="Chart 3"/>
        <xdr:cNvGraphicFramePr/>
      </xdr:nvGraphicFramePr>
      <xdr:xfrm>
        <a:off x="6105525" y="6905625"/>
        <a:ext cx="43434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466725</xdr:colOff>
      <xdr:row>78</xdr:row>
      <xdr:rowOff>104775</xdr:rowOff>
    </xdr:to>
    <xdr:graphicFrame>
      <xdr:nvGraphicFramePr>
        <xdr:cNvPr id="4" name="Chart 4"/>
        <xdr:cNvGraphicFramePr/>
      </xdr:nvGraphicFramePr>
      <xdr:xfrm>
        <a:off x="0" y="9877425"/>
        <a:ext cx="59055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4.421875" style="0" customWidth="1"/>
    <col min="2" max="2" width="10.57421875" style="0" bestFit="1" customWidth="1"/>
    <col min="5" max="5" width="9.7109375" style="0" customWidth="1"/>
    <col min="6" max="6" width="9.421875" style="0" bestFit="1" customWidth="1"/>
    <col min="7" max="7" width="10.00390625" style="0" bestFit="1" customWidth="1"/>
  </cols>
  <sheetData>
    <row r="1" spans="1:9" ht="12.7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t="s">
        <v>1</v>
      </c>
    </row>
    <row r="2" spans="1:8" ht="12.75">
      <c r="A2" t="s">
        <v>2</v>
      </c>
      <c r="B2" s="7">
        <v>2</v>
      </c>
      <c r="C2" s="7">
        <v>8</v>
      </c>
      <c r="D2" s="7">
        <v>18</v>
      </c>
      <c r="E2" s="7">
        <v>30</v>
      </c>
      <c r="F2" s="7">
        <v>20</v>
      </c>
      <c r="G2" s="7">
        <v>10</v>
      </c>
      <c r="H2" s="7">
        <v>2</v>
      </c>
    </row>
    <row r="3" spans="1:8" ht="12.75">
      <c r="A3" t="s">
        <v>3</v>
      </c>
      <c r="B3" s="7">
        <v>2</v>
      </c>
      <c r="C3" s="7">
        <f aca="true" t="shared" si="0" ref="C3:H3">B3</f>
        <v>2</v>
      </c>
      <c r="D3" s="7">
        <f t="shared" si="0"/>
        <v>2</v>
      </c>
      <c r="E3" s="7">
        <f t="shared" si="0"/>
        <v>2</v>
      </c>
      <c r="F3" s="7">
        <f t="shared" si="0"/>
        <v>2</v>
      </c>
      <c r="G3" s="7">
        <f t="shared" si="0"/>
        <v>2</v>
      </c>
      <c r="H3" s="7">
        <f t="shared" si="0"/>
        <v>2</v>
      </c>
    </row>
    <row r="4" spans="1:9" ht="12.75">
      <c r="A4" t="s">
        <v>4</v>
      </c>
      <c r="B4" s="7">
        <f aca="true" t="shared" si="1" ref="B4:H4">B2-B3</f>
        <v>0</v>
      </c>
      <c r="C4" s="7">
        <f t="shared" si="1"/>
        <v>6</v>
      </c>
      <c r="D4" s="7">
        <f t="shared" si="1"/>
        <v>16</v>
      </c>
      <c r="E4" s="7">
        <f t="shared" si="1"/>
        <v>28</v>
      </c>
      <c r="F4" s="7">
        <f t="shared" si="1"/>
        <v>18</v>
      </c>
      <c r="G4" s="7">
        <f t="shared" si="1"/>
        <v>8</v>
      </c>
      <c r="H4" s="7">
        <f t="shared" si="1"/>
        <v>0</v>
      </c>
      <c r="I4" s="7">
        <f>SUM(B4:H4)</f>
        <v>76</v>
      </c>
    </row>
    <row r="6" spans="1:8" ht="12.75">
      <c r="A6" t="s">
        <v>5</v>
      </c>
      <c r="B6" s="7">
        <v>23.6</v>
      </c>
      <c r="C6" t="s">
        <v>6</v>
      </c>
      <c r="F6" t="s">
        <v>5</v>
      </c>
      <c r="G6">
        <f>B6*10^6</f>
        <v>23600000</v>
      </c>
      <c r="H6" t="s">
        <v>7</v>
      </c>
    </row>
    <row r="7" spans="2:8" ht="12.75">
      <c r="B7" s="8">
        <f>B6*10^6</f>
        <v>23600000</v>
      </c>
      <c r="C7" t="s">
        <v>7</v>
      </c>
      <c r="F7" t="s">
        <v>8</v>
      </c>
      <c r="G7">
        <f>I4*3600</f>
        <v>273600</v>
      </c>
      <c r="H7" t="s">
        <v>9</v>
      </c>
    </row>
    <row r="8" ht="12.75">
      <c r="B8" s="7"/>
    </row>
    <row r="9" spans="1:8" ht="12.75">
      <c r="A9" t="s">
        <v>10</v>
      </c>
      <c r="B9">
        <f>I4*10^3*3600/B7</f>
        <v>11.59322033898305</v>
      </c>
      <c r="C9" t="s">
        <v>11</v>
      </c>
      <c r="D9" s="8"/>
      <c r="F9" t="s">
        <v>10</v>
      </c>
      <c r="G9">
        <f>G7/G6</f>
        <v>0.011593220338983051</v>
      </c>
      <c r="H9" t="s">
        <v>12</v>
      </c>
    </row>
    <row r="10" spans="1:8" ht="12.75">
      <c r="A10" t="s">
        <v>13</v>
      </c>
      <c r="G10">
        <f>G9*1000</f>
        <v>11.593220338983052</v>
      </c>
      <c r="H10" t="s">
        <v>11</v>
      </c>
    </row>
    <row r="11" spans="1:2" ht="12.75">
      <c r="A11" s="9" t="s">
        <v>14</v>
      </c>
      <c r="B11" t="s">
        <v>15</v>
      </c>
    </row>
    <row r="12" ht="12.75">
      <c r="D12" t="s">
        <v>16</v>
      </c>
    </row>
    <row r="13" spans="1:3" ht="12.75">
      <c r="A13" t="s">
        <v>17</v>
      </c>
      <c r="B13">
        <v>8</v>
      </c>
      <c r="C13" t="s">
        <v>18</v>
      </c>
    </row>
    <row r="14" spans="1:7" ht="12.75">
      <c r="A14" t="s">
        <v>19</v>
      </c>
      <c r="B14">
        <v>10</v>
      </c>
      <c r="C14" t="s">
        <v>18</v>
      </c>
      <c r="E14" s="9" t="s">
        <v>14</v>
      </c>
      <c r="F14" s="7">
        <f>(SUM(B13:B15)-B9)/COUNT(B13:B15)</f>
        <v>2.80225988700565</v>
      </c>
      <c r="G14" t="s">
        <v>11</v>
      </c>
    </row>
    <row r="15" spans="1:3" ht="12.75">
      <c r="A15" t="s">
        <v>20</v>
      </c>
      <c r="B15">
        <v>2</v>
      </c>
      <c r="C15" t="s">
        <v>18</v>
      </c>
    </row>
    <row r="16" ht="12.75">
      <c r="D16" t="s">
        <v>21</v>
      </c>
    </row>
    <row r="18" spans="5:8" ht="12.75">
      <c r="E18" s="9" t="s">
        <v>14</v>
      </c>
      <c r="F18" s="7">
        <f>(SUM(B13:B14)-B9)/COUNT(B13:B14)</f>
        <v>3.203389830508475</v>
      </c>
      <c r="G18" t="s">
        <v>11</v>
      </c>
      <c r="H18" s="10"/>
    </row>
    <row r="19" ht="12.75">
      <c r="A19" t="s">
        <v>22</v>
      </c>
    </row>
    <row r="20" spans="1:3" ht="12.75">
      <c r="A20" t="s">
        <v>23</v>
      </c>
      <c r="B20" s="7">
        <f>B13-$F$18</f>
        <v>4.796610169491525</v>
      </c>
      <c r="C20" t="s">
        <v>18</v>
      </c>
    </row>
    <row r="21" spans="1:3" ht="12.75">
      <c r="A21" t="s">
        <v>24</v>
      </c>
      <c r="B21" s="7">
        <f>B14-$F$18</f>
        <v>6.796610169491525</v>
      </c>
      <c r="C21" t="s">
        <v>18</v>
      </c>
    </row>
    <row r="22" spans="2:9" ht="12.75">
      <c r="B22" s="7"/>
      <c r="G22" t="s">
        <v>25</v>
      </c>
      <c r="H22">
        <v>10</v>
      </c>
      <c r="I22" t="s">
        <v>18</v>
      </c>
    </row>
    <row r="23" spans="4:9" ht="12.75">
      <c r="D23">
        <f>16/6</f>
        <v>2.6666666666666665</v>
      </c>
      <c r="H23">
        <v>20</v>
      </c>
      <c r="I23" t="s">
        <v>18</v>
      </c>
    </row>
    <row r="24" spans="1:2" ht="12.75">
      <c r="A24" t="s">
        <v>26</v>
      </c>
      <c r="B24">
        <f>COUNT(C4:G4)</f>
        <v>5</v>
      </c>
    </row>
    <row r="25" spans="1:2" ht="12.75">
      <c r="A25" t="s">
        <v>27</v>
      </c>
      <c r="B25">
        <f>COUNT(B20:B22)</f>
        <v>2</v>
      </c>
    </row>
    <row r="26" spans="1:2" ht="12.75">
      <c r="A26" t="s">
        <v>28</v>
      </c>
      <c r="B26">
        <f>B24-B25+1</f>
        <v>4</v>
      </c>
    </row>
    <row r="28" spans="1:7" ht="12.75">
      <c r="A28" t="s">
        <v>29</v>
      </c>
      <c r="B28" s="24" t="s">
        <v>30</v>
      </c>
      <c r="C28" s="24"/>
      <c r="D28" s="24" t="s">
        <v>31</v>
      </c>
      <c r="E28" s="24"/>
      <c r="F28" s="25" t="s">
        <v>32</v>
      </c>
      <c r="G28" s="25"/>
    </row>
    <row r="29" spans="1:8" ht="12.75">
      <c r="A29" s="5">
        <v>0</v>
      </c>
      <c r="B29" s="12"/>
      <c r="C29" s="13">
        <v>0</v>
      </c>
      <c r="D29" s="12"/>
      <c r="E29" s="14">
        <v>0</v>
      </c>
      <c r="F29" s="15" t="s">
        <v>33</v>
      </c>
      <c r="G29" s="16">
        <f>B3</f>
        <v>2</v>
      </c>
      <c r="H29" s="16">
        <f>C3</f>
        <v>2</v>
      </c>
    </row>
    <row r="30" spans="1:8" ht="12.75">
      <c r="A30" s="5">
        <v>1</v>
      </c>
      <c r="B30" t="s">
        <v>34</v>
      </c>
      <c r="C30" s="7">
        <f>C4</f>
        <v>6</v>
      </c>
      <c r="D30" t="s">
        <v>35</v>
      </c>
      <c r="E30" s="7">
        <f>C30/B20</f>
        <v>1.2508833922261484</v>
      </c>
      <c r="F30" t="s">
        <v>36</v>
      </c>
      <c r="G30" s="7">
        <f>$B$20*E30+$G$29</f>
        <v>8</v>
      </c>
      <c r="H30" s="7">
        <f>$H$22*E30+$H$29</f>
        <v>14.508833922261484</v>
      </c>
    </row>
    <row r="31" spans="1:8" ht="12.75">
      <c r="A31" s="5">
        <v>2</v>
      </c>
      <c r="B31" t="s">
        <v>37</v>
      </c>
      <c r="C31" s="7">
        <f>D4</f>
        <v>16</v>
      </c>
      <c r="D31" t="s">
        <v>38</v>
      </c>
      <c r="E31" s="7">
        <f>(C31-E30*$B$21)/$B$20</f>
        <v>1.563235900061182</v>
      </c>
      <c r="F31" t="s">
        <v>39</v>
      </c>
      <c r="G31" s="7">
        <f>$B$20*E31+$B$21*E30+$G$29</f>
        <v>18</v>
      </c>
      <c r="H31" s="7">
        <f aca="true" t="shared" si="2" ref="H31:H38">$H$22*E31+$H$23*E30+$H$29</f>
        <v>42.65002684513479</v>
      </c>
    </row>
    <row r="32" spans="1:8" ht="12.75">
      <c r="A32" s="5">
        <v>3</v>
      </c>
      <c r="B32" t="s">
        <v>40</v>
      </c>
      <c r="C32" s="7">
        <f>E4</f>
        <v>28</v>
      </c>
      <c r="D32" t="s">
        <v>41</v>
      </c>
      <c r="E32" s="7" t="e">
        <f>#N/A</f>
        <v>#N/A</v>
      </c>
      <c r="F32" t="s">
        <v>42</v>
      </c>
      <c r="G32" s="7" t="e">
        <f aca="true" t="shared" si="3" ref="G32:G38">$B$20*E32+$B$21*E31+$B$22*E30+$G$29</f>
        <v>#N/A</v>
      </c>
      <c r="H32" s="7" t="e">
        <f t="shared" si="2"/>
        <v>#N/A</v>
      </c>
    </row>
    <row r="33" spans="1:8" ht="12.75">
      <c r="A33" s="5">
        <v>4</v>
      </c>
      <c r="B33" t="s">
        <v>43</v>
      </c>
      <c r="C33" s="7">
        <f>F4</f>
        <v>18</v>
      </c>
      <c r="D33" t="s">
        <v>44</v>
      </c>
      <c r="E33" s="7" t="e">
        <f>#N/A</f>
        <v>#N/A</v>
      </c>
      <c r="F33" t="s">
        <v>45</v>
      </c>
      <c r="G33" s="6" t="e">
        <f t="shared" si="3"/>
        <v>#N/A</v>
      </c>
      <c r="H33" s="7" t="e">
        <f t="shared" si="2"/>
        <v>#N/A</v>
      </c>
    </row>
    <row r="34" spans="1:8" ht="12.75">
      <c r="A34" s="5">
        <v>5</v>
      </c>
      <c r="B34" t="s">
        <v>46</v>
      </c>
      <c r="C34" s="7">
        <f>G4</f>
        <v>8</v>
      </c>
      <c r="D34" t="s">
        <v>47</v>
      </c>
      <c r="E34" s="7" t="e">
        <f>#N/A</f>
        <v>#N/A</v>
      </c>
      <c r="F34" t="s">
        <v>48</v>
      </c>
      <c r="G34" s="7" t="e">
        <f t="shared" si="3"/>
        <v>#N/A</v>
      </c>
      <c r="H34" s="7" t="e">
        <f t="shared" si="2"/>
        <v>#N/A</v>
      </c>
    </row>
    <row r="35" spans="1:8" ht="12.75">
      <c r="A35" s="5">
        <v>6</v>
      </c>
      <c r="B35" t="s">
        <v>49</v>
      </c>
      <c r="C35" s="7">
        <f>H4</f>
        <v>0</v>
      </c>
      <c r="D35" t="s">
        <v>50</v>
      </c>
      <c r="E35" s="7" t="e">
        <f>#N/A</f>
        <v>#N/A</v>
      </c>
      <c r="F35" t="s">
        <v>51</v>
      </c>
      <c r="G35" s="7" t="e">
        <f t="shared" si="3"/>
        <v>#N/A</v>
      </c>
      <c r="H35" s="7" t="e">
        <f t="shared" si="2"/>
        <v>#N/A</v>
      </c>
    </row>
    <row r="36" spans="1:8" ht="12.75">
      <c r="A36" s="5">
        <v>7</v>
      </c>
      <c r="B36" t="s">
        <v>52</v>
      </c>
      <c r="C36" s="7" t="e">
        <f>#REF!</f>
        <v>#REF!</v>
      </c>
      <c r="E36" s="7" t="e">
        <f>#N/A</f>
        <v>#N/A</v>
      </c>
      <c r="F36" t="s">
        <v>53</v>
      </c>
      <c r="G36" s="7" t="e">
        <f t="shared" si="3"/>
        <v>#N/A</v>
      </c>
      <c r="H36" s="7" t="e">
        <f t="shared" si="2"/>
        <v>#N/A</v>
      </c>
    </row>
    <row r="37" spans="1:8" ht="12.75">
      <c r="A37" s="5">
        <v>8</v>
      </c>
      <c r="B37" t="s">
        <v>54</v>
      </c>
      <c r="C37" s="7" t="e">
        <f>#REF!</f>
        <v>#REF!</v>
      </c>
      <c r="F37" t="s">
        <v>55</v>
      </c>
      <c r="G37" s="7" t="e">
        <f t="shared" si="3"/>
        <v>#N/A</v>
      </c>
      <c r="H37" s="7" t="e">
        <f t="shared" si="2"/>
        <v>#N/A</v>
      </c>
    </row>
    <row r="38" spans="1:8" ht="12.75">
      <c r="A38" s="5">
        <v>9</v>
      </c>
      <c r="C38">
        <v>0</v>
      </c>
      <c r="F38" t="s">
        <v>56</v>
      </c>
      <c r="G38" s="7" t="e">
        <f t="shared" si="3"/>
        <v>#N/A</v>
      </c>
      <c r="H38" s="7">
        <f t="shared" si="2"/>
        <v>2</v>
      </c>
    </row>
    <row r="41" ht="12.75">
      <c r="E41">
        <f>4.5*5</f>
        <v>22.5</v>
      </c>
    </row>
    <row r="42" ht="12.75">
      <c r="E42">
        <f>7.5/5</f>
        <v>1.5</v>
      </c>
    </row>
    <row r="43" ht="12.75">
      <c r="E43">
        <f>28.5-15-9</f>
        <v>4.5</v>
      </c>
    </row>
    <row r="44" ht="12.75">
      <c r="E44">
        <f>E43/3</f>
        <v>1.5</v>
      </c>
    </row>
    <row r="45" ht="12.75">
      <c r="E45">
        <f>7.5/5</f>
        <v>1.5</v>
      </c>
    </row>
    <row r="47" spans="1:5" ht="12.75">
      <c r="A47" t="s">
        <v>29</v>
      </c>
      <c r="B47" s="24" t="s">
        <v>31</v>
      </c>
      <c r="C47" s="24"/>
      <c r="D47" s="25" t="s">
        <v>32</v>
      </c>
      <c r="E47" s="25"/>
    </row>
    <row r="48" spans="1:7" ht="12.75">
      <c r="A48" s="5">
        <v>0</v>
      </c>
      <c r="B48" s="12"/>
      <c r="C48" s="14">
        <v>0</v>
      </c>
      <c r="D48" s="18" t="s">
        <v>33</v>
      </c>
      <c r="E48" s="19">
        <v>5</v>
      </c>
      <c r="F48" t="s">
        <v>17</v>
      </c>
      <c r="G48">
        <v>30</v>
      </c>
    </row>
    <row r="49" spans="1:7" ht="12.75">
      <c r="A49" s="5">
        <v>1</v>
      </c>
      <c r="B49" t="s">
        <v>35</v>
      </c>
      <c r="C49" s="7">
        <v>2</v>
      </c>
      <c r="D49" s="20" t="s">
        <v>36</v>
      </c>
      <c r="E49" s="21">
        <f>E48+C49*$G$48</f>
        <v>65</v>
      </c>
      <c r="F49" t="s">
        <v>19</v>
      </c>
      <c r="G49">
        <v>60</v>
      </c>
    </row>
    <row r="50" spans="1:7" ht="12.75">
      <c r="A50" s="5">
        <v>2</v>
      </c>
      <c r="B50" t="s">
        <v>38</v>
      </c>
      <c r="C50" s="7">
        <v>4</v>
      </c>
      <c r="D50" s="20" t="s">
        <v>39</v>
      </c>
      <c r="E50" s="21">
        <f>E48+C50*$G$48+C49*$G$49</f>
        <v>245</v>
      </c>
      <c r="F50" t="s">
        <v>20</v>
      </c>
      <c r="G50">
        <v>30</v>
      </c>
    </row>
    <row r="51" spans="1:5" ht="12.75">
      <c r="A51" s="5">
        <v>3</v>
      </c>
      <c r="B51" t="s">
        <v>41</v>
      </c>
      <c r="C51" s="7">
        <v>6</v>
      </c>
      <c r="D51" s="20" t="s">
        <v>42</v>
      </c>
      <c r="E51" s="21">
        <f aca="true" t="shared" si="4" ref="E51:E57">$E$48+C51*$G$48+C50*$G$49+C49*$G$50</f>
        <v>485</v>
      </c>
    </row>
    <row r="52" spans="1:6" ht="12.75">
      <c r="A52" s="5">
        <v>4</v>
      </c>
      <c r="B52" t="s">
        <v>44</v>
      </c>
      <c r="C52" s="7">
        <v>4.5</v>
      </c>
      <c r="D52" s="20" t="s">
        <v>45</v>
      </c>
      <c r="E52" s="21">
        <f t="shared" si="4"/>
        <v>620</v>
      </c>
      <c r="F52" t="s">
        <v>57</v>
      </c>
    </row>
    <row r="53" spans="1:5" ht="12.75">
      <c r="A53" s="5">
        <v>5</v>
      </c>
      <c r="B53" t="s">
        <v>47</v>
      </c>
      <c r="C53" s="7">
        <v>3</v>
      </c>
      <c r="D53" s="20" t="s">
        <v>48</v>
      </c>
      <c r="E53" s="21">
        <f t="shared" si="4"/>
        <v>545</v>
      </c>
    </row>
    <row r="54" spans="1:7" ht="12.75">
      <c r="A54" s="5">
        <v>6</v>
      </c>
      <c r="B54" t="s">
        <v>50</v>
      </c>
      <c r="C54" s="7">
        <v>1.5</v>
      </c>
      <c r="D54" s="20" t="s">
        <v>51</v>
      </c>
      <c r="E54" s="21">
        <f t="shared" si="4"/>
        <v>365</v>
      </c>
      <c r="F54" t="s">
        <v>58</v>
      </c>
      <c r="G54" s="7">
        <f>E52-E48</f>
        <v>615</v>
      </c>
    </row>
    <row r="55" spans="1:5" ht="12.75">
      <c r="A55" s="5">
        <v>7</v>
      </c>
      <c r="C55" s="7">
        <v>0</v>
      </c>
      <c r="D55" s="20" t="s">
        <v>53</v>
      </c>
      <c r="E55" s="21">
        <f t="shared" si="4"/>
        <v>185</v>
      </c>
    </row>
    <row r="56" spans="1:5" ht="12.75">
      <c r="A56" s="5">
        <v>8</v>
      </c>
      <c r="D56" s="20" t="s">
        <v>55</v>
      </c>
      <c r="E56" s="21">
        <f t="shared" si="4"/>
        <v>50</v>
      </c>
    </row>
    <row r="57" spans="1:5" ht="12.75">
      <c r="A57" s="5">
        <v>9</v>
      </c>
      <c r="D57" s="20" t="s">
        <v>56</v>
      </c>
      <c r="E57" s="21">
        <f t="shared" si="4"/>
        <v>5</v>
      </c>
    </row>
    <row r="58" ht="12.75">
      <c r="E58" s="7"/>
    </row>
    <row r="84" spans="4:5" ht="12.75">
      <c r="D84">
        <f>4*14</f>
        <v>56</v>
      </c>
      <c r="E84">
        <v>128</v>
      </c>
    </row>
    <row r="85" spans="4:6" ht="12.75">
      <c r="D85">
        <f>D84/6</f>
        <v>9.333333333333334</v>
      </c>
      <c r="E85">
        <f>6*F85</f>
        <v>60</v>
      </c>
      <c r="F85">
        <v>10</v>
      </c>
    </row>
    <row r="86" spans="5:6" ht="12.75">
      <c r="E86">
        <f>E84-E85</f>
        <v>68</v>
      </c>
      <c r="F86">
        <f>68/4</f>
        <v>17</v>
      </c>
    </row>
    <row r="87" spans="5:6" ht="12.75">
      <c r="E87">
        <f>E86/4</f>
        <v>17</v>
      </c>
      <c r="F87">
        <f>6*F86+D9</f>
        <v>102</v>
      </c>
    </row>
  </sheetData>
  <sheetProtection/>
  <mergeCells count="5">
    <mergeCell ref="B28:C28"/>
    <mergeCell ref="D28:E28"/>
    <mergeCell ref="F28:G28"/>
    <mergeCell ref="B47:C47"/>
    <mergeCell ref="D47:E4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150" zoomScaleNormal="150" zoomScalePageLayoutView="0" workbookViewId="0" topLeftCell="A1">
      <selection activeCell="D1" sqref="D1"/>
    </sheetView>
  </sheetViews>
  <sheetFormatPr defaultColWidth="9.140625" defaultRowHeight="12.75"/>
  <cols>
    <col min="1" max="1" width="14.421875" style="0" customWidth="1"/>
    <col min="2" max="2" width="10.57421875" style="0" bestFit="1" customWidth="1"/>
    <col min="5" max="5" width="9.7109375" style="0" customWidth="1"/>
    <col min="6" max="6" width="9.421875" style="0" bestFit="1" customWidth="1"/>
    <col min="7" max="7" width="10.00390625" style="0" bestFit="1" customWidth="1"/>
  </cols>
  <sheetData>
    <row r="1" spans="1:12" ht="12.7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 t="s">
        <v>1</v>
      </c>
    </row>
    <row r="2" spans="1:16" ht="12.75">
      <c r="A2" t="s">
        <v>2</v>
      </c>
      <c r="B2" s="6">
        <v>5</v>
      </c>
      <c r="C2" s="6">
        <v>11</v>
      </c>
      <c r="D2" s="6">
        <v>27</v>
      </c>
      <c r="E2" s="6">
        <v>47</v>
      </c>
      <c r="F2" s="6">
        <v>56.5</v>
      </c>
      <c r="G2" s="6">
        <v>48.5</v>
      </c>
      <c r="H2" s="6">
        <v>33.5</v>
      </c>
      <c r="I2" s="6">
        <v>18.5</v>
      </c>
      <c r="J2" s="6">
        <v>8</v>
      </c>
      <c r="K2" s="6">
        <v>5</v>
      </c>
      <c r="N2">
        <f>60*60</f>
        <v>3600</v>
      </c>
      <c r="P2">
        <f>38/4</f>
        <v>9.5</v>
      </c>
    </row>
    <row r="3" spans="1:16" ht="12.75">
      <c r="A3" t="s">
        <v>3</v>
      </c>
      <c r="B3" s="6">
        <v>5</v>
      </c>
      <c r="C3" s="6">
        <v>5</v>
      </c>
      <c r="D3" s="6">
        <v>5</v>
      </c>
      <c r="E3" s="6">
        <v>5</v>
      </c>
      <c r="F3" s="6">
        <v>5</v>
      </c>
      <c r="G3" s="6">
        <v>5</v>
      </c>
      <c r="H3" s="6">
        <v>5</v>
      </c>
      <c r="I3" s="6">
        <v>5</v>
      </c>
      <c r="J3" s="6">
        <v>5</v>
      </c>
      <c r="K3" s="6">
        <v>5</v>
      </c>
      <c r="N3">
        <f>210*3600/(75.6*10^3)</f>
        <v>10</v>
      </c>
      <c r="P3">
        <f>P2*2</f>
        <v>19</v>
      </c>
    </row>
    <row r="4" spans="1:12" ht="12.75">
      <c r="A4" t="s">
        <v>4</v>
      </c>
      <c r="B4" s="7">
        <f>B2-B3</f>
        <v>0</v>
      </c>
      <c r="C4" s="7">
        <f>C2-C3</f>
        <v>6</v>
      </c>
      <c r="D4" s="7">
        <f aca="true" t="shared" si="0" ref="D4:K4">D2-D3</f>
        <v>22</v>
      </c>
      <c r="E4" s="7">
        <f t="shared" si="0"/>
        <v>42</v>
      </c>
      <c r="F4" s="7">
        <f t="shared" si="0"/>
        <v>51.5</v>
      </c>
      <c r="G4" s="7">
        <f t="shared" si="0"/>
        <v>43.5</v>
      </c>
      <c r="H4" s="7">
        <f t="shared" si="0"/>
        <v>28.5</v>
      </c>
      <c r="I4" s="7">
        <f t="shared" si="0"/>
        <v>13.5</v>
      </c>
      <c r="J4" s="7">
        <f t="shared" si="0"/>
        <v>3</v>
      </c>
      <c r="K4" s="7">
        <f t="shared" si="0"/>
        <v>0</v>
      </c>
      <c r="L4" s="22">
        <f>SUM(B4:K4)</f>
        <v>210</v>
      </c>
    </row>
    <row r="6" spans="1:8" ht="12.75">
      <c r="A6" t="s">
        <v>5</v>
      </c>
      <c r="B6" s="7">
        <v>75.6</v>
      </c>
      <c r="C6" t="s">
        <v>6</v>
      </c>
      <c r="F6" t="s">
        <v>5</v>
      </c>
      <c r="G6">
        <f>B6*10^6</f>
        <v>75600000</v>
      </c>
      <c r="H6" t="s">
        <v>7</v>
      </c>
    </row>
    <row r="7" spans="2:8" ht="12.75">
      <c r="B7" s="8">
        <f>B6*10^6</f>
        <v>75600000</v>
      </c>
      <c r="C7" t="s">
        <v>7</v>
      </c>
      <c r="F7" t="s">
        <v>8</v>
      </c>
      <c r="G7">
        <f>L4*3600</f>
        <v>756000</v>
      </c>
      <c r="H7" t="s">
        <v>9</v>
      </c>
    </row>
    <row r="8" spans="2:7" ht="12.75">
      <c r="B8" s="7"/>
      <c r="G8">
        <f>756/75600</f>
        <v>0.01</v>
      </c>
    </row>
    <row r="9" spans="1:8" ht="12.75">
      <c r="A9" t="s">
        <v>10</v>
      </c>
      <c r="B9">
        <f>L4*10^3*3600/B7</f>
        <v>10</v>
      </c>
      <c r="C9" t="s">
        <v>11</v>
      </c>
      <c r="D9" s="8">
        <f>L4*10^3*3600/(B6*10^6)</f>
        <v>10</v>
      </c>
      <c r="F9" t="s">
        <v>10</v>
      </c>
      <c r="G9">
        <f>G7/G6</f>
        <v>0.01</v>
      </c>
      <c r="H9" t="s">
        <v>12</v>
      </c>
    </row>
    <row r="10" spans="1:8" ht="12.75">
      <c r="A10" t="s">
        <v>13</v>
      </c>
      <c r="G10">
        <f>G9*1000</f>
        <v>10</v>
      </c>
      <c r="H10" t="s">
        <v>11</v>
      </c>
    </row>
    <row r="11" spans="1:6" ht="12.75">
      <c r="A11" s="9" t="s">
        <v>14</v>
      </c>
      <c r="B11" t="s">
        <v>15</v>
      </c>
      <c r="F11">
        <f>210*10^9*3600</f>
        <v>756000000000000</v>
      </c>
    </row>
    <row r="12" ht="12.75">
      <c r="D12" t="s">
        <v>59</v>
      </c>
    </row>
    <row r="13" spans="1:3" ht="12.75">
      <c r="A13" t="s">
        <v>17</v>
      </c>
      <c r="B13">
        <v>13</v>
      </c>
      <c r="C13" t="s">
        <v>18</v>
      </c>
    </row>
    <row r="14" spans="1:8" ht="12.75">
      <c r="A14" t="s">
        <v>19</v>
      </c>
      <c r="B14">
        <v>15</v>
      </c>
      <c r="C14" t="s">
        <v>18</v>
      </c>
      <c r="E14" s="9" t="s">
        <v>14</v>
      </c>
      <c r="F14">
        <f>(SUM(B13:B16)-B9)/COUNT(B13:B16)</f>
        <v>9.5</v>
      </c>
      <c r="G14" t="s">
        <v>11</v>
      </c>
      <c r="H14">
        <f>37/4</f>
        <v>9.25</v>
      </c>
    </row>
    <row r="15" spans="1:3" ht="12.75">
      <c r="A15" t="s">
        <v>20</v>
      </c>
      <c r="B15">
        <v>12</v>
      </c>
      <c r="C15" t="s">
        <v>18</v>
      </c>
    </row>
    <row r="16" spans="1:4" ht="12.75">
      <c r="A16" t="s">
        <v>60</v>
      </c>
      <c r="B16">
        <v>8</v>
      </c>
      <c r="C16" t="s">
        <v>18</v>
      </c>
      <c r="D16" t="s">
        <v>61</v>
      </c>
    </row>
    <row r="17" ht="12.75">
      <c r="B17">
        <f>SUM(B13:B16)</f>
        <v>48</v>
      </c>
    </row>
    <row r="18" spans="5:8" ht="12.75">
      <c r="E18" s="9" t="s">
        <v>14</v>
      </c>
      <c r="F18">
        <f>(SUM(B13:B15)-B9)/COUNT(B13:B15)</f>
        <v>10</v>
      </c>
      <c r="G18" t="s">
        <v>11</v>
      </c>
      <c r="H18" s="10" t="s">
        <v>62</v>
      </c>
    </row>
    <row r="19" ht="12.75">
      <c r="A19" t="s">
        <v>22</v>
      </c>
    </row>
    <row r="20" spans="1:3" ht="12.75">
      <c r="A20" t="s">
        <v>23</v>
      </c>
      <c r="B20" s="3">
        <f>B13-F18</f>
        <v>3</v>
      </c>
      <c r="C20" t="s">
        <v>18</v>
      </c>
    </row>
    <row r="21" spans="1:3" ht="12.75">
      <c r="A21" t="s">
        <v>24</v>
      </c>
      <c r="B21" s="3">
        <f>B14-F18</f>
        <v>5</v>
      </c>
      <c r="C21" t="s">
        <v>18</v>
      </c>
    </row>
    <row r="22" spans="1:9" ht="12.75">
      <c r="A22" t="s">
        <v>63</v>
      </c>
      <c r="B22" s="3">
        <f>B15-F18</f>
        <v>2</v>
      </c>
      <c r="C22" t="s">
        <v>18</v>
      </c>
      <c r="G22" t="s">
        <v>25</v>
      </c>
      <c r="H22" s="11">
        <v>20</v>
      </c>
      <c r="I22" t="s">
        <v>18</v>
      </c>
    </row>
    <row r="23" spans="8:9" ht="12.75">
      <c r="H23" s="11">
        <v>20</v>
      </c>
      <c r="I23" t="s">
        <v>18</v>
      </c>
    </row>
    <row r="24" spans="1:2" ht="12.75">
      <c r="A24" t="s">
        <v>26</v>
      </c>
      <c r="B24">
        <f>COUNT(C4:J4)</f>
        <v>8</v>
      </c>
    </row>
    <row r="25" spans="1:2" ht="12.75">
      <c r="A25" t="s">
        <v>27</v>
      </c>
      <c r="B25">
        <f>COUNT(B20:B22)</f>
        <v>3</v>
      </c>
    </row>
    <row r="26" spans="1:2" ht="12.75">
      <c r="A26" t="s">
        <v>28</v>
      </c>
      <c r="B26">
        <f>B24-B25+1</f>
        <v>6</v>
      </c>
    </row>
    <row r="28" spans="1:7" ht="12.75">
      <c r="A28" t="s">
        <v>29</v>
      </c>
      <c r="B28" s="24" t="s">
        <v>30</v>
      </c>
      <c r="C28" s="24"/>
      <c r="D28" s="24" t="s">
        <v>31</v>
      </c>
      <c r="E28" s="24"/>
      <c r="F28" s="25" t="s">
        <v>32</v>
      </c>
      <c r="G28" s="25"/>
    </row>
    <row r="29" spans="1:8" ht="12.75">
      <c r="A29" s="5">
        <v>0</v>
      </c>
      <c r="B29" s="12"/>
      <c r="C29" s="13">
        <v>0</v>
      </c>
      <c r="D29" s="12"/>
      <c r="E29" s="14">
        <v>0</v>
      </c>
      <c r="F29" s="15" t="s">
        <v>33</v>
      </c>
      <c r="G29" s="16">
        <v>5</v>
      </c>
      <c r="H29" s="16">
        <f>C3</f>
        <v>5</v>
      </c>
    </row>
    <row r="30" spans="1:8" ht="12.75">
      <c r="A30" s="5">
        <v>1</v>
      </c>
      <c r="B30" t="s">
        <v>34</v>
      </c>
      <c r="C30" s="7">
        <f>C4</f>
        <v>6</v>
      </c>
      <c r="D30" t="s">
        <v>35</v>
      </c>
      <c r="E30" s="7">
        <f>C30/B20</f>
        <v>2</v>
      </c>
      <c r="F30" t="s">
        <v>36</v>
      </c>
      <c r="G30" s="7">
        <f>$B$20*E30+$G$29</f>
        <v>11</v>
      </c>
      <c r="H30" s="7">
        <f>$H$22*E30+$H$29</f>
        <v>45</v>
      </c>
    </row>
    <row r="31" spans="1:8" ht="12.75">
      <c r="A31" s="5">
        <v>2</v>
      </c>
      <c r="B31" t="s">
        <v>37</v>
      </c>
      <c r="C31" s="7">
        <f>D4</f>
        <v>22</v>
      </c>
      <c r="D31" t="s">
        <v>38</v>
      </c>
      <c r="E31" s="7">
        <f>(C31-E30*$B$21)/$B$20</f>
        <v>4</v>
      </c>
      <c r="F31" t="s">
        <v>39</v>
      </c>
      <c r="G31" s="7">
        <f>$B$20*E31+$B$21*E30+$G$29</f>
        <v>27</v>
      </c>
      <c r="H31" s="7">
        <f aca="true" t="shared" si="1" ref="H31:H38">$H$22*E31+$H$23*E30+$H$29</f>
        <v>125</v>
      </c>
    </row>
    <row r="32" spans="1:8" ht="12.75">
      <c r="A32" s="5">
        <v>3</v>
      </c>
      <c r="B32" t="s">
        <v>40</v>
      </c>
      <c r="C32" s="7">
        <f>E4</f>
        <v>42</v>
      </c>
      <c r="D32" s="23" t="s">
        <v>41</v>
      </c>
      <c r="E32" s="7">
        <f>(C32-B22*E30-B21*E31)/$B$20</f>
        <v>6</v>
      </c>
      <c r="F32" t="s">
        <v>42</v>
      </c>
      <c r="G32" s="7">
        <f aca="true" t="shared" si="2" ref="G32:G38">$B$20*E32+$B$21*E31+$B$22*E30+$G$29</f>
        <v>47</v>
      </c>
      <c r="H32" s="7">
        <f t="shared" si="1"/>
        <v>205</v>
      </c>
    </row>
    <row r="33" spans="1:8" ht="12.75">
      <c r="A33" s="5">
        <v>4</v>
      </c>
      <c r="B33" t="s">
        <v>43</v>
      </c>
      <c r="C33" s="7">
        <f>F4</f>
        <v>51.5</v>
      </c>
      <c r="D33" t="s">
        <v>44</v>
      </c>
      <c r="E33" s="7">
        <f>(C33-B22*E31-B21*E32)/B20</f>
        <v>4.5</v>
      </c>
      <c r="F33" t="s">
        <v>45</v>
      </c>
      <c r="G33" s="6">
        <f t="shared" si="2"/>
        <v>56.5</v>
      </c>
      <c r="H33" s="17">
        <f t="shared" si="1"/>
        <v>215</v>
      </c>
    </row>
    <row r="34" spans="1:8" ht="12.75">
      <c r="A34" s="5">
        <v>5</v>
      </c>
      <c r="B34" t="s">
        <v>46</v>
      </c>
      <c r="C34" s="7">
        <f>G4</f>
        <v>43.5</v>
      </c>
      <c r="D34" t="s">
        <v>47</v>
      </c>
      <c r="E34" s="7">
        <f>(C34-B22*E32-B21*E33)/B20</f>
        <v>3</v>
      </c>
      <c r="F34" t="s">
        <v>48</v>
      </c>
      <c r="G34" s="7">
        <f t="shared" si="2"/>
        <v>48.5</v>
      </c>
      <c r="H34" s="7">
        <f t="shared" si="1"/>
        <v>155</v>
      </c>
    </row>
    <row r="35" spans="1:8" ht="12.75">
      <c r="A35" s="5">
        <v>6</v>
      </c>
      <c r="B35" t="s">
        <v>49</v>
      </c>
      <c r="C35" s="7">
        <f>H4</f>
        <v>28.5</v>
      </c>
      <c r="D35" t="s">
        <v>50</v>
      </c>
      <c r="E35" s="7">
        <f>(C35-B22*E33-B21*E34)/B20</f>
        <v>1.5</v>
      </c>
      <c r="F35" t="s">
        <v>51</v>
      </c>
      <c r="G35" s="7">
        <f t="shared" si="2"/>
        <v>33.5</v>
      </c>
      <c r="H35" s="7">
        <f t="shared" si="1"/>
        <v>95</v>
      </c>
    </row>
    <row r="36" spans="1:8" ht="12.75">
      <c r="A36" s="5">
        <v>7</v>
      </c>
      <c r="B36" t="s">
        <v>52</v>
      </c>
      <c r="C36" s="7">
        <f>I4</f>
        <v>13.5</v>
      </c>
      <c r="E36" s="7"/>
      <c r="F36" t="s">
        <v>53</v>
      </c>
      <c r="G36" s="7">
        <f t="shared" si="2"/>
        <v>18.5</v>
      </c>
      <c r="H36" s="7">
        <f t="shared" si="1"/>
        <v>35</v>
      </c>
    </row>
    <row r="37" spans="1:8" ht="12.75">
      <c r="A37" s="5">
        <v>8</v>
      </c>
      <c r="B37" t="s">
        <v>54</v>
      </c>
      <c r="C37" s="7">
        <f>J4</f>
        <v>3</v>
      </c>
      <c r="F37" t="s">
        <v>55</v>
      </c>
      <c r="G37" s="7">
        <f t="shared" si="2"/>
        <v>8</v>
      </c>
      <c r="H37" s="7">
        <f t="shared" si="1"/>
        <v>5</v>
      </c>
    </row>
    <row r="38" spans="1:8" ht="12.75">
      <c r="A38" s="5">
        <v>9</v>
      </c>
      <c r="C38">
        <v>0</v>
      </c>
      <c r="F38" t="s">
        <v>56</v>
      </c>
      <c r="G38" s="7">
        <f t="shared" si="2"/>
        <v>5</v>
      </c>
      <c r="H38" s="7">
        <f t="shared" si="1"/>
        <v>5</v>
      </c>
    </row>
    <row r="40" ht="12.75">
      <c r="B40">
        <f>43.5-4.5*5-12</f>
        <v>9</v>
      </c>
    </row>
    <row r="41" ht="12.75">
      <c r="E41">
        <f>4.5*5</f>
        <v>22.5</v>
      </c>
    </row>
    <row r="42" ht="12.75">
      <c r="E42">
        <f>7.5/5</f>
        <v>1.5</v>
      </c>
    </row>
    <row r="43" ht="12.75">
      <c r="E43">
        <f>28.5-15-9</f>
        <v>4.5</v>
      </c>
    </row>
    <row r="44" ht="12.75">
      <c r="E44">
        <f>E43/3</f>
        <v>1.5</v>
      </c>
    </row>
    <row r="45" ht="12.75">
      <c r="E45">
        <f>7.5/5</f>
        <v>1.5</v>
      </c>
    </row>
    <row r="47" spans="1:5" ht="12.75">
      <c r="A47" t="s">
        <v>29</v>
      </c>
      <c r="B47" s="24" t="s">
        <v>31</v>
      </c>
      <c r="C47" s="24"/>
      <c r="D47" s="25" t="s">
        <v>32</v>
      </c>
      <c r="E47" s="25"/>
    </row>
    <row r="48" spans="1:7" ht="12.75">
      <c r="A48" s="5">
        <v>0</v>
      </c>
      <c r="B48" s="12"/>
      <c r="C48" s="14">
        <v>0</v>
      </c>
      <c r="D48" s="18" t="s">
        <v>33</v>
      </c>
      <c r="E48" s="19">
        <v>5</v>
      </c>
      <c r="F48" t="s">
        <v>17</v>
      </c>
      <c r="G48">
        <v>3</v>
      </c>
    </row>
    <row r="49" spans="1:7" ht="12.75">
      <c r="A49" s="5">
        <v>1</v>
      </c>
      <c r="B49" t="s">
        <v>35</v>
      </c>
      <c r="C49" s="7">
        <v>2</v>
      </c>
      <c r="D49" s="20" t="s">
        <v>36</v>
      </c>
      <c r="E49" s="21">
        <f>E48+C49*$G$48</f>
        <v>11</v>
      </c>
      <c r="F49" t="s">
        <v>19</v>
      </c>
      <c r="G49">
        <v>5</v>
      </c>
    </row>
    <row r="50" spans="1:7" ht="12.75">
      <c r="A50" s="5">
        <v>2</v>
      </c>
      <c r="B50" t="s">
        <v>38</v>
      </c>
      <c r="C50" s="7">
        <v>4</v>
      </c>
      <c r="D50" s="20" t="s">
        <v>39</v>
      </c>
      <c r="E50" s="21">
        <f>E48+C50*$G$48+C49*$G$49</f>
        <v>27</v>
      </c>
      <c r="F50" t="s">
        <v>20</v>
      </c>
      <c r="G50">
        <v>2</v>
      </c>
    </row>
    <row r="51" spans="1:5" ht="12.75">
      <c r="A51" s="5">
        <v>3</v>
      </c>
      <c r="B51" t="s">
        <v>41</v>
      </c>
      <c r="C51" s="7">
        <v>6</v>
      </c>
      <c r="D51" s="20" t="s">
        <v>42</v>
      </c>
      <c r="E51" s="21">
        <f>$E$48+C51*$G$48+C50*$G$49+C49*$G$50</f>
        <v>47</v>
      </c>
    </row>
    <row r="52" spans="1:6" ht="12.75">
      <c r="A52" s="5">
        <v>4</v>
      </c>
      <c r="B52" t="s">
        <v>44</v>
      </c>
      <c r="C52" s="7">
        <v>4.5</v>
      </c>
      <c r="D52" s="20" t="s">
        <v>45</v>
      </c>
      <c r="E52" s="21">
        <f aca="true" t="shared" si="3" ref="E52:E57">$E$48+C52*$G$48+C51*$G$49+C50*$G$50</f>
        <v>56.5</v>
      </c>
      <c r="F52" t="s">
        <v>57</v>
      </c>
    </row>
    <row r="53" spans="1:5" ht="12.75">
      <c r="A53" s="5">
        <v>5</v>
      </c>
      <c r="B53" t="s">
        <v>47</v>
      </c>
      <c r="C53" s="7">
        <v>3</v>
      </c>
      <c r="D53" s="20" t="s">
        <v>48</v>
      </c>
      <c r="E53" s="21">
        <f t="shared" si="3"/>
        <v>48.5</v>
      </c>
    </row>
    <row r="54" spans="1:7" ht="12.75">
      <c r="A54" s="5">
        <v>6</v>
      </c>
      <c r="B54" t="s">
        <v>50</v>
      </c>
      <c r="C54" s="7">
        <v>1.5</v>
      </c>
      <c r="D54" s="20" t="s">
        <v>51</v>
      </c>
      <c r="E54" s="21">
        <f t="shared" si="3"/>
        <v>33.5</v>
      </c>
      <c r="F54" t="s">
        <v>58</v>
      </c>
      <c r="G54" s="7">
        <f>E52-E48</f>
        <v>51.5</v>
      </c>
    </row>
    <row r="55" spans="1:5" ht="12.75">
      <c r="A55" s="5">
        <v>7</v>
      </c>
      <c r="C55" s="7">
        <v>0</v>
      </c>
      <c r="D55" s="20" t="s">
        <v>53</v>
      </c>
      <c r="E55" s="21">
        <f t="shared" si="3"/>
        <v>18.5</v>
      </c>
    </row>
    <row r="56" spans="1:5" ht="12.75">
      <c r="A56" s="5">
        <v>8</v>
      </c>
      <c r="D56" s="20" t="s">
        <v>55</v>
      </c>
      <c r="E56" s="21">
        <f t="shared" si="3"/>
        <v>8</v>
      </c>
    </row>
    <row r="57" spans="1:5" ht="12.75">
      <c r="A57" s="5">
        <v>9</v>
      </c>
      <c r="D57" s="20" t="s">
        <v>56</v>
      </c>
      <c r="E57" s="21">
        <f t="shared" si="3"/>
        <v>5</v>
      </c>
    </row>
    <row r="58" ht="12.75">
      <c r="E58" s="7"/>
    </row>
  </sheetData>
  <sheetProtection/>
  <mergeCells count="5">
    <mergeCell ref="B28:C28"/>
    <mergeCell ref="D28:E28"/>
    <mergeCell ref="F28:G28"/>
    <mergeCell ref="B47:C47"/>
    <mergeCell ref="D47:E4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"/>
  <sheetViews>
    <sheetView zoomScalePageLayoutView="0" workbookViewId="0" topLeftCell="A1">
      <selection activeCell="A2" sqref="A2:G3"/>
    </sheetView>
  </sheetViews>
  <sheetFormatPr defaultColWidth="9.140625" defaultRowHeight="12.75"/>
  <sheetData>
    <row r="2" spans="1:8" ht="12.75">
      <c r="A2" s="5" t="s">
        <v>64</v>
      </c>
      <c r="B2" s="5" t="s">
        <v>35</v>
      </c>
      <c r="C2" s="5" t="s">
        <v>38</v>
      </c>
      <c r="D2" s="5" t="s">
        <v>41</v>
      </c>
      <c r="E2" s="5" t="s">
        <v>44</v>
      </c>
      <c r="F2" s="5" t="s">
        <v>47</v>
      </c>
      <c r="G2" s="5" t="s">
        <v>50</v>
      </c>
      <c r="H2" s="5"/>
    </row>
    <row r="3" spans="1:8" ht="12.75">
      <c r="A3" s="5" t="s">
        <v>31</v>
      </c>
      <c r="B3" s="5">
        <v>2</v>
      </c>
      <c r="C3" s="5">
        <v>4</v>
      </c>
      <c r="D3" s="5">
        <v>6</v>
      </c>
      <c r="E3" s="5">
        <v>4.5</v>
      </c>
      <c r="F3" s="5">
        <v>3</v>
      </c>
      <c r="G3" s="5">
        <v>1.5</v>
      </c>
      <c r="H3" s="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2.7109375" style="0" customWidth="1"/>
  </cols>
  <sheetData>
    <row r="1" spans="1:9" ht="19.5" customHeight="1">
      <c r="A1" s="1" t="s">
        <v>65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</row>
    <row r="2" spans="1:9" ht="30" customHeight="1">
      <c r="A2" s="1" t="s">
        <v>66</v>
      </c>
      <c r="B2" s="1">
        <v>4</v>
      </c>
      <c r="C2" s="1">
        <v>12</v>
      </c>
      <c r="D2" s="1">
        <v>28</v>
      </c>
      <c r="E2" s="1">
        <v>46</v>
      </c>
      <c r="F2" s="1">
        <v>44</v>
      </c>
      <c r="G2" s="1">
        <v>20</v>
      </c>
      <c r="H2" s="1">
        <v>6</v>
      </c>
      <c r="I2" s="1">
        <v>4</v>
      </c>
    </row>
    <row r="3" spans="1:9" ht="15.75">
      <c r="A3" s="2" t="s">
        <v>67</v>
      </c>
      <c r="B3" s="2">
        <v>4</v>
      </c>
      <c r="C3" s="2">
        <v>4</v>
      </c>
      <c r="D3" s="2">
        <v>4</v>
      </c>
      <c r="E3" s="2">
        <v>4</v>
      </c>
      <c r="F3" s="2">
        <v>4</v>
      </c>
      <c r="G3" s="2">
        <v>4</v>
      </c>
      <c r="H3" s="2">
        <v>4</v>
      </c>
      <c r="I3" s="2">
        <v>4</v>
      </c>
    </row>
    <row r="4" spans="1:10" ht="15.75">
      <c r="A4" s="2" t="s">
        <v>8</v>
      </c>
      <c r="B4" s="2">
        <f>B2-B3</f>
        <v>0</v>
      </c>
      <c r="C4" s="2">
        <f aca="true" t="shared" si="0" ref="C4:I4">C2-C3</f>
        <v>8</v>
      </c>
      <c r="D4" s="2">
        <f t="shared" si="0"/>
        <v>24</v>
      </c>
      <c r="E4" s="2">
        <f t="shared" si="0"/>
        <v>42</v>
      </c>
      <c r="F4" s="2">
        <f t="shared" si="0"/>
        <v>40</v>
      </c>
      <c r="G4" s="2">
        <f t="shared" si="0"/>
        <v>16</v>
      </c>
      <c r="H4" s="2">
        <f t="shared" si="0"/>
        <v>2</v>
      </c>
      <c r="I4" s="2">
        <f t="shared" si="0"/>
        <v>0</v>
      </c>
      <c r="J4" s="4">
        <f>SUM(B4:I4)</f>
        <v>132</v>
      </c>
    </row>
    <row r="6" spans="1:12" ht="12.75">
      <c r="A6" t="s">
        <v>17</v>
      </c>
      <c r="B6">
        <v>4</v>
      </c>
      <c r="C6" t="s">
        <v>18</v>
      </c>
      <c r="D6" t="s">
        <v>17</v>
      </c>
      <c r="E6">
        <v>150</v>
      </c>
      <c r="G6" t="s">
        <v>17</v>
      </c>
      <c r="H6">
        <v>4</v>
      </c>
      <c r="J6" t="s">
        <v>5</v>
      </c>
      <c r="K6">
        <f>J4*60*60/(B9*10^-3)</f>
        <v>39600000</v>
      </c>
      <c r="L6" t="s">
        <v>7</v>
      </c>
    </row>
    <row r="7" spans="1:12" ht="12.75">
      <c r="A7" t="s">
        <v>19</v>
      </c>
      <c r="B7">
        <v>6</v>
      </c>
      <c r="C7" t="s">
        <v>18</v>
      </c>
      <c r="D7" t="s">
        <v>19</v>
      </c>
      <c r="E7">
        <v>80</v>
      </c>
      <c r="G7" t="s">
        <v>19</v>
      </c>
      <c r="H7">
        <v>6</v>
      </c>
      <c r="K7">
        <f>K6/10^6</f>
        <v>39.6</v>
      </c>
      <c r="L7" t="s">
        <v>6</v>
      </c>
    </row>
    <row r="8" spans="1:8" ht="12.75">
      <c r="A8" t="s">
        <v>20</v>
      </c>
      <c r="B8">
        <v>2</v>
      </c>
      <c r="C8" t="s">
        <v>18</v>
      </c>
      <c r="E8">
        <f>SUM(E6:E7)</f>
        <v>230</v>
      </c>
      <c r="G8" t="s">
        <v>20</v>
      </c>
      <c r="H8">
        <v>2</v>
      </c>
    </row>
    <row r="9" spans="2:12" ht="12.75">
      <c r="B9">
        <f>SUM(B6:B8)</f>
        <v>12</v>
      </c>
      <c r="J9" t="s">
        <v>10</v>
      </c>
      <c r="K9">
        <f>J4*60*60/(K7*10^6)</f>
        <v>0.012</v>
      </c>
      <c r="L9" t="s">
        <v>12</v>
      </c>
    </row>
    <row r="10" spans="1:12" ht="12.75">
      <c r="A10" t="s">
        <v>26</v>
      </c>
      <c r="B10">
        <f>COUNT(C4:H4)</f>
        <v>6</v>
      </c>
      <c r="K10">
        <f>K9*1000</f>
        <v>12</v>
      </c>
      <c r="L10" t="s">
        <v>11</v>
      </c>
    </row>
    <row r="11" spans="1:2" ht="12.75">
      <c r="A11" t="s">
        <v>27</v>
      </c>
      <c r="B11">
        <f>COUNT(B6:B8)</f>
        <v>3</v>
      </c>
    </row>
    <row r="12" spans="1:9" ht="12.75">
      <c r="A12" t="s">
        <v>28</v>
      </c>
      <c r="B12">
        <f>B10-B11+1</f>
        <v>4</v>
      </c>
      <c r="D12" t="s">
        <v>68</v>
      </c>
      <c r="E12" t="s">
        <v>8</v>
      </c>
      <c r="F12" t="s">
        <v>69</v>
      </c>
      <c r="G12" t="s">
        <v>68</v>
      </c>
      <c r="H12" t="s">
        <v>8</v>
      </c>
      <c r="I12" t="s">
        <v>69</v>
      </c>
    </row>
    <row r="13" spans="4:9" ht="12.75">
      <c r="D13">
        <v>0</v>
      </c>
      <c r="F13">
        <v>4</v>
      </c>
      <c r="G13">
        <v>0</v>
      </c>
      <c r="I13">
        <v>4</v>
      </c>
    </row>
    <row r="14" spans="1:9" ht="12.75">
      <c r="A14" t="s">
        <v>35</v>
      </c>
      <c r="B14">
        <f>C4/B6</f>
        <v>2</v>
      </c>
      <c r="D14">
        <v>1</v>
      </c>
      <c r="E14">
        <f>E6*$B$14</f>
        <v>300</v>
      </c>
      <c r="F14">
        <f aca="true" t="shared" si="1" ref="F14:F19">E14+$F$13</f>
        <v>304</v>
      </c>
      <c r="G14">
        <v>1</v>
      </c>
      <c r="H14">
        <f>H6*$B$14</f>
        <v>8</v>
      </c>
      <c r="I14">
        <f>H14+$F$13</f>
        <v>12</v>
      </c>
    </row>
    <row r="15" spans="1:9" ht="12.75">
      <c r="A15" t="s">
        <v>38</v>
      </c>
      <c r="B15">
        <f>(D4-B7*B14)/B6</f>
        <v>3</v>
      </c>
      <c r="D15">
        <v>2</v>
      </c>
      <c r="E15">
        <f>E6*$B$15+E7*$B$14</f>
        <v>610</v>
      </c>
      <c r="F15">
        <f t="shared" si="1"/>
        <v>614</v>
      </c>
      <c r="G15">
        <v>2</v>
      </c>
      <c r="H15">
        <f>H6*$B$15+H7*$B$14</f>
        <v>24</v>
      </c>
      <c r="I15">
        <f aca="true" t="shared" si="2" ref="I15:I20">H15+$F$13</f>
        <v>28</v>
      </c>
    </row>
    <row r="16" spans="1:9" ht="12.75">
      <c r="A16" t="s">
        <v>41</v>
      </c>
      <c r="B16">
        <f>(E4-B7*B15-B8*B14)/B6</f>
        <v>5</v>
      </c>
      <c r="D16">
        <v>3</v>
      </c>
      <c r="E16">
        <f>E6*$B$16+E7*$B$15</f>
        <v>990</v>
      </c>
      <c r="F16">
        <f t="shared" si="1"/>
        <v>994</v>
      </c>
      <c r="G16">
        <v>3</v>
      </c>
      <c r="H16">
        <f>H6*$B$16+H7*$B$15+H8*$B$14</f>
        <v>42</v>
      </c>
      <c r="I16">
        <f t="shared" si="2"/>
        <v>46</v>
      </c>
    </row>
    <row r="17" spans="1:9" ht="12.75">
      <c r="A17" t="s">
        <v>44</v>
      </c>
      <c r="B17">
        <f>(F4-B7*B16-B8*B15)/B6</f>
        <v>1</v>
      </c>
      <c r="D17">
        <v>4</v>
      </c>
      <c r="E17">
        <f>E6*$B$17+E7*$B$16</f>
        <v>550</v>
      </c>
      <c r="F17">
        <f t="shared" si="1"/>
        <v>554</v>
      </c>
      <c r="G17">
        <v>4</v>
      </c>
      <c r="H17">
        <f>H6*$B$17+H7*$B$16+H8*$B$15</f>
        <v>40</v>
      </c>
      <c r="I17">
        <f t="shared" si="2"/>
        <v>44</v>
      </c>
    </row>
    <row r="18" spans="4:9" ht="12.75">
      <c r="D18">
        <v>5</v>
      </c>
      <c r="E18">
        <f>E7*$B$17</f>
        <v>80</v>
      </c>
      <c r="F18">
        <f t="shared" si="1"/>
        <v>84</v>
      </c>
      <c r="G18">
        <v>5</v>
      </c>
      <c r="H18">
        <f>H7*$B$17+H8*$B$16</f>
        <v>16</v>
      </c>
      <c r="I18">
        <f t="shared" si="2"/>
        <v>20</v>
      </c>
    </row>
    <row r="19" spans="4:9" ht="12.75">
      <c r="D19">
        <v>6</v>
      </c>
      <c r="F19">
        <f t="shared" si="1"/>
        <v>4</v>
      </c>
      <c r="G19">
        <v>6</v>
      </c>
      <c r="H19">
        <f>H8*$B$17</f>
        <v>2</v>
      </c>
      <c r="I19">
        <f t="shared" si="2"/>
        <v>6</v>
      </c>
    </row>
    <row r="20" spans="7:9" ht="12.75">
      <c r="G20">
        <v>7</v>
      </c>
      <c r="I20">
        <f t="shared" si="2"/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2.7109375" style="0" customWidth="1"/>
  </cols>
  <sheetData>
    <row r="1" spans="1:9" ht="19.5" customHeight="1">
      <c r="A1" s="1" t="s">
        <v>65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/>
    </row>
    <row r="2" spans="1:9" ht="30" customHeight="1">
      <c r="A2" s="1" t="s">
        <v>66</v>
      </c>
      <c r="B2" s="1">
        <v>2</v>
      </c>
      <c r="C2" s="1">
        <f>C3+C4</f>
        <v>6.5</v>
      </c>
      <c r="D2" s="1">
        <f>D3+D4</f>
        <v>17</v>
      </c>
      <c r="E2" s="1">
        <f>E3+E4</f>
        <v>29</v>
      </c>
      <c r="F2" s="1">
        <f>F3+F4</f>
        <v>25</v>
      </c>
      <c r="G2" s="1">
        <f>G3+G4</f>
        <v>6</v>
      </c>
      <c r="H2" s="1">
        <v>2</v>
      </c>
      <c r="I2" s="1"/>
    </row>
    <row r="3" spans="1:9" ht="15.75">
      <c r="A3" s="2" t="s">
        <v>67</v>
      </c>
      <c r="B3" s="2">
        <v>2</v>
      </c>
      <c r="C3" s="2">
        <f aca="true" t="shared" si="0" ref="C3:H3">B3</f>
        <v>2</v>
      </c>
      <c r="D3" s="2">
        <f t="shared" si="0"/>
        <v>2</v>
      </c>
      <c r="E3" s="2">
        <f t="shared" si="0"/>
        <v>2</v>
      </c>
      <c r="F3" s="2">
        <f t="shared" si="0"/>
        <v>2</v>
      </c>
      <c r="G3" s="2">
        <f t="shared" si="0"/>
        <v>2</v>
      </c>
      <c r="H3" s="2">
        <f t="shared" si="0"/>
        <v>2</v>
      </c>
      <c r="I3" s="2"/>
    </row>
    <row r="4" spans="1:10" ht="15.75">
      <c r="A4" s="2" t="s">
        <v>8</v>
      </c>
      <c r="B4" s="2">
        <f>B2-B3</f>
        <v>0</v>
      </c>
      <c r="C4" s="2">
        <v>4.5</v>
      </c>
      <c r="D4" s="2">
        <v>15</v>
      </c>
      <c r="E4" s="2">
        <v>27</v>
      </c>
      <c r="F4" s="2">
        <v>23</v>
      </c>
      <c r="G4" s="2">
        <v>4</v>
      </c>
      <c r="H4" s="2">
        <f>H2-H3</f>
        <v>0</v>
      </c>
      <c r="I4" s="2"/>
      <c r="J4" s="4">
        <f>SUM(B4:I4)</f>
        <v>73.5</v>
      </c>
    </row>
    <row r="6" spans="1:12" ht="12.75">
      <c r="A6" t="s">
        <v>17</v>
      </c>
      <c r="B6">
        <v>3</v>
      </c>
      <c r="C6" t="s">
        <v>18</v>
      </c>
      <c r="D6" t="s">
        <v>17</v>
      </c>
      <c r="E6">
        <v>20</v>
      </c>
      <c r="G6" t="s">
        <v>17</v>
      </c>
      <c r="H6">
        <f>B6</f>
        <v>3</v>
      </c>
      <c r="J6" t="s">
        <v>5</v>
      </c>
      <c r="K6">
        <f>J4*60*60/(B9*10^-3)</f>
        <v>37800000</v>
      </c>
      <c r="L6" t="s">
        <v>7</v>
      </c>
    </row>
    <row r="7" spans="1:12" ht="12.75">
      <c r="A7" t="s">
        <v>19</v>
      </c>
      <c r="B7">
        <v>4</v>
      </c>
      <c r="C7" t="s">
        <v>18</v>
      </c>
      <c r="D7" t="s">
        <v>19</v>
      </c>
      <c r="E7">
        <v>50</v>
      </c>
      <c r="G7" t="s">
        <v>19</v>
      </c>
      <c r="H7">
        <f>B7</f>
        <v>4</v>
      </c>
      <c r="K7">
        <f>K6/10^6</f>
        <v>37.8</v>
      </c>
      <c r="L7" t="s">
        <v>6</v>
      </c>
    </row>
    <row r="8" spans="4:5" ht="12.75">
      <c r="D8" t="s">
        <v>20</v>
      </c>
      <c r="E8">
        <v>30</v>
      </c>
    </row>
    <row r="9" spans="2:12" ht="12.75">
      <c r="B9">
        <f>SUM(B6:B8)</f>
        <v>7</v>
      </c>
      <c r="E9">
        <f>SUM(E6:E8)</f>
        <v>100</v>
      </c>
      <c r="J9" t="s">
        <v>10</v>
      </c>
      <c r="K9">
        <f>J4*60*60/(K7*10^6)</f>
        <v>0.007</v>
      </c>
      <c r="L9" t="s">
        <v>12</v>
      </c>
    </row>
    <row r="11" spans="1:12" ht="12.75">
      <c r="A11" t="s">
        <v>26</v>
      </c>
      <c r="B11">
        <f>COUNT(C4:G4)</f>
        <v>5</v>
      </c>
      <c r="K11">
        <f>K9*1000</f>
        <v>7</v>
      </c>
      <c r="L11" t="s">
        <v>11</v>
      </c>
    </row>
    <row r="12" spans="1:2" ht="12.75">
      <c r="A12" t="s">
        <v>27</v>
      </c>
      <c r="B12">
        <f>COUNT(B6:B7)</f>
        <v>2</v>
      </c>
    </row>
    <row r="13" spans="1:11" ht="12.75">
      <c r="A13" t="s">
        <v>28</v>
      </c>
      <c r="B13">
        <f>B11-B12+1</f>
        <v>4</v>
      </c>
      <c r="D13" t="s">
        <v>68</v>
      </c>
      <c r="E13" t="s">
        <v>8</v>
      </c>
      <c r="F13" t="s">
        <v>69</v>
      </c>
      <c r="G13" t="s">
        <v>68</v>
      </c>
      <c r="H13" t="s">
        <v>8</v>
      </c>
      <c r="I13" t="s">
        <v>69</v>
      </c>
      <c r="K13">
        <f>73.5*60*60/(37.8*10^6)</f>
        <v>0.007</v>
      </c>
    </row>
    <row r="14" spans="4:11" ht="12.75">
      <c r="D14">
        <v>0</v>
      </c>
      <c r="F14">
        <v>2</v>
      </c>
      <c r="G14">
        <v>0</v>
      </c>
      <c r="H14">
        <v>0</v>
      </c>
      <c r="I14">
        <f>F14</f>
        <v>2</v>
      </c>
      <c r="K14">
        <f>K13*10^3</f>
        <v>7</v>
      </c>
    </row>
    <row r="15" spans="1:11" ht="12.75">
      <c r="A15" t="s">
        <v>35</v>
      </c>
      <c r="B15">
        <f>C4/B6</f>
        <v>1.5</v>
      </c>
      <c r="D15">
        <v>1</v>
      </c>
      <c r="E15">
        <f>E6*$B$15</f>
        <v>30</v>
      </c>
      <c r="F15">
        <f aca="true" t="shared" si="1" ref="F15:F20">E15+$F$14</f>
        <v>32</v>
      </c>
      <c r="G15">
        <v>1</v>
      </c>
      <c r="H15">
        <f>H6*$B$15</f>
        <v>4.5</v>
      </c>
      <c r="I15">
        <f aca="true" t="shared" si="2" ref="I15:I20">H15+$F$14</f>
        <v>6.5</v>
      </c>
      <c r="K15">
        <f>8/3</f>
        <v>2.6666666666666665</v>
      </c>
    </row>
    <row r="16" spans="1:9" ht="12.75">
      <c r="A16" t="s">
        <v>38</v>
      </c>
      <c r="B16">
        <f>(D4-B7*B15)/B6</f>
        <v>3</v>
      </c>
      <c r="D16">
        <v>2</v>
      </c>
      <c r="E16">
        <f>E6*$B$16+E7*$B$15</f>
        <v>135</v>
      </c>
      <c r="F16">
        <f t="shared" si="1"/>
        <v>137</v>
      </c>
      <c r="G16">
        <v>2</v>
      </c>
      <c r="H16">
        <f>H6*$B$16+H7*$B$15</f>
        <v>15</v>
      </c>
      <c r="I16">
        <f t="shared" si="2"/>
        <v>17</v>
      </c>
    </row>
    <row r="17" spans="1:9" ht="12.75">
      <c r="A17" t="s">
        <v>41</v>
      </c>
      <c r="B17">
        <f>(E4-B7*B16-B8*B15)/B6</f>
        <v>5</v>
      </c>
      <c r="D17">
        <v>3</v>
      </c>
      <c r="E17" s="3">
        <f>E6*$B$17+E7*$B$16+E8*$B$15</f>
        <v>295</v>
      </c>
      <c r="F17" s="3">
        <f t="shared" si="1"/>
        <v>297</v>
      </c>
      <c r="G17">
        <v>3</v>
      </c>
      <c r="H17">
        <f>H6*$B$17+H7*$B$16+H8*$B$15</f>
        <v>27</v>
      </c>
      <c r="I17">
        <f t="shared" si="2"/>
        <v>29</v>
      </c>
    </row>
    <row r="18" spans="1:9" ht="12.75">
      <c r="A18" t="s">
        <v>44</v>
      </c>
      <c r="B18">
        <f>(F4-B7*B17-B8*B16)/B6</f>
        <v>1</v>
      </c>
      <c r="D18">
        <v>4</v>
      </c>
      <c r="E18">
        <f>E6*$B$18+E7*$B$17+E8*$B$16</f>
        <v>360</v>
      </c>
      <c r="F18">
        <f t="shared" si="1"/>
        <v>362</v>
      </c>
      <c r="G18">
        <v>4</v>
      </c>
      <c r="H18">
        <f>H6*$B$18+H7*$B$17+H8*$B$16</f>
        <v>23</v>
      </c>
      <c r="I18">
        <f t="shared" si="2"/>
        <v>25</v>
      </c>
    </row>
    <row r="19" spans="4:9" ht="12.75">
      <c r="D19">
        <v>5</v>
      </c>
      <c r="E19">
        <f>E7*$B$18+E8*$B$17</f>
        <v>200</v>
      </c>
      <c r="F19">
        <f t="shared" si="1"/>
        <v>202</v>
      </c>
      <c r="G19">
        <v>5</v>
      </c>
      <c r="H19">
        <f>H7*$B$18+H8*$B$17</f>
        <v>4</v>
      </c>
      <c r="I19">
        <f t="shared" si="2"/>
        <v>6</v>
      </c>
    </row>
    <row r="20" spans="4:9" ht="12.75">
      <c r="D20">
        <v>6</v>
      </c>
      <c r="E20">
        <f>E8*$B$18</f>
        <v>30</v>
      </c>
      <c r="F20">
        <f t="shared" si="1"/>
        <v>32</v>
      </c>
      <c r="G20">
        <v>6</v>
      </c>
      <c r="H20">
        <f>H8*$B$18</f>
        <v>0</v>
      </c>
      <c r="I20">
        <f t="shared" si="2"/>
        <v>2</v>
      </c>
    </row>
    <row r="21" ht="12.75">
      <c r="G21">
        <v>7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Yogyakarta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Titiek Widyasari</dc:creator>
  <cp:keywords/>
  <dc:description/>
  <cp:lastModifiedBy>L E N O V O</cp:lastModifiedBy>
  <cp:lastPrinted>2016-05-18T01:43:18Z</cp:lastPrinted>
  <dcterms:created xsi:type="dcterms:W3CDTF">2007-04-07T10:37:28Z</dcterms:created>
  <dcterms:modified xsi:type="dcterms:W3CDTF">2021-04-18T12:36:33Z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